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Netz\Rahmenverträge MKN_MSB_MDL\KoV VIII\"/>
    </mc:Choice>
  </mc:AlternateContent>
  <bookViews>
    <workbookView xWindow="0" yWindow="0" windowWidth="28800" windowHeight="125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J8" i="7" l="1"/>
  <c r="F18" i="7"/>
  <c r="F19" i="7"/>
  <c r="F20" i="7"/>
  <c r="F21" i="7"/>
  <c r="F22" i="7"/>
  <c r="F23" i="7"/>
  <c r="F24" i="7"/>
  <c r="F25" i="7"/>
  <c r="F15" i="7"/>
  <c r="F16" i="7"/>
  <c r="F17" i="7"/>
  <c r="F14" i="7"/>
  <c r="F13" i="7"/>
  <c r="F12" i="7"/>
  <c r="P25" i="7"/>
  <c r="O25" i="7"/>
  <c r="N25" i="7"/>
  <c r="M25" i="7"/>
  <c r="L25" i="7"/>
  <c r="K25" i="7"/>
  <c r="J25" i="7"/>
  <c r="I25" i="7"/>
  <c r="H25" i="7"/>
  <c r="P24" i="7"/>
  <c r="O24" i="7"/>
  <c r="N24" i="7"/>
  <c r="M24" i="7"/>
  <c r="L24" i="7"/>
  <c r="K24" i="7"/>
  <c r="J24" i="7"/>
  <c r="I24" i="7"/>
  <c r="H24" i="7"/>
  <c r="P23" i="7"/>
  <c r="O23" i="7"/>
  <c r="N23" i="7"/>
  <c r="M23" i="7"/>
  <c r="L23" i="7"/>
  <c r="K23" i="7"/>
  <c r="J23" i="7"/>
  <c r="I23" i="7"/>
  <c r="H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P19" i="7"/>
  <c r="O19" i="7"/>
  <c r="N19" i="7"/>
  <c r="M19" i="7"/>
  <c r="L19" i="7"/>
  <c r="K19" i="7"/>
  <c r="J19" i="7"/>
  <c r="I19" i="7"/>
  <c r="H19" i="7"/>
  <c r="P18" i="7"/>
  <c r="O18" i="7"/>
  <c r="N18" i="7"/>
  <c r="M18" i="7"/>
  <c r="L18" i="7"/>
  <c r="K18" i="7"/>
  <c r="J18" i="7"/>
  <c r="I18" i="7"/>
  <c r="H18" i="7"/>
  <c r="P17" i="7"/>
  <c r="O17" i="7"/>
  <c r="N17" i="7"/>
  <c r="M17" i="7"/>
  <c r="L17" i="7"/>
  <c r="K17" i="7"/>
  <c r="J17" i="7"/>
  <c r="I17" i="7"/>
  <c r="H17" i="7"/>
  <c r="P16" i="7"/>
  <c r="O16" i="7"/>
  <c r="N16" i="7"/>
  <c r="M16" i="7"/>
  <c r="L16" i="7"/>
  <c r="K16" i="7"/>
  <c r="J16" i="7"/>
  <c r="I16" i="7"/>
  <c r="H16" i="7"/>
  <c r="P15" i="7"/>
  <c r="O15" i="7"/>
  <c r="N15" i="7"/>
  <c r="M15" i="7"/>
  <c r="L15" i="7"/>
  <c r="K15" i="7"/>
  <c r="J15" i="7"/>
  <c r="I15" i="7"/>
  <c r="H15" i="7"/>
  <c r="P14" i="7"/>
  <c r="O14" i="7"/>
  <c r="N14" i="7"/>
  <c r="M14" i="7"/>
  <c r="L14" i="7"/>
  <c r="K14" i="7"/>
  <c r="J14" i="7"/>
  <c r="I14" i="7"/>
  <c r="H14" i="7"/>
  <c r="P13" i="7"/>
  <c r="O13" i="7"/>
  <c r="N13" i="7"/>
  <c r="M13" i="7"/>
  <c r="L13" i="7"/>
  <c r="K13" i="7"/>
  <c r="J13" i="7"/>
  <c r="I13" i="7"/>
  <c r="H13" i="7"/>
  <c r="P12" i="7"/>
  <c r="O12" i="7"/>
  <c r="N12" i="7"/>
  <c r="M12" i="7"/>
  <c r="L12" i="7"/>
  <c r="K12" i="7"/>
  <c r="J12" i="7"/>
  <c r="I12" i="7"/>
  <c r="H12" i="7"/>
  <c r="E6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J63" i="18"/>
  <c r="I63" i="18"/>
  <c r="G63" i="18"/>
  <c r="F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K53" i="18"/>
  <c r="J53" i="18"/>
  <c r="I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N53" i="18" l="1"/>
  <c r="D32" i="18"/>
  <c r="K31" i="18" s="1"/>
  <c r="E53" i="18"/>
  <c r="D56" i="18" s="1"/>
  <c r="J55" i="18" s="1"/>
  <c r="F53" i="18"/>
  <c r="M63" i="18"/>
  <c r="D22" i="18"/>
  <c r="J21" i="18" s="1"/>
  <c r="G53" i="18"/>
  <c r="N63" i="18"/>
  <c r="N21" i="18"/>
  <c r="F21" i="18"/>
  <c r="M21" i="18"/>
  <c r="L21" i="18"/>
  <c r="H21" i="18"/>
  <c r="K21" i="18"/>
  <c r="G21" i="18"/>
  <c r="L31" i="18"/>
  <c r="H31" i="18"/>
  <c r="G31" i="18"/>
  <c r="N31" i="18"/>
  <c r="J31" i="18"/>
  <c r="F31" i="18"/>
  <c r="M31" i="18"/>
  <c r="I31" i="18"/>
  <c r="H53" i="18"/>
  <c r="H63" i="18"/>
  <c r="D24" i="15"/>
  <c r="C23" i="15"/>
  <c r="D66" i="18" l="1"/>
  <c r="I65" i="18" s="1"/>
  <c r="I21" i="18"/>
  <c r="E31" i="18"/>
  <c r="H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J65" i="18"/>
  <c r="L65" i="18"/>
  <c r="N65" i="18"/>
  <c r="G65" i="18"/>
  <c r="F65" i="18"/>
  <c r="K65" i="18"/>
  <c r="M6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6" i="8" l="1"/>
  <c r="B6" i="8"/>
  <c r="C3" i="8"/>
  <c r="B3" i="8"/>
  <c r="C11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<sst xmlns="http://schemas.openxmlformats.org/spreadsheetml/2006/main" count="1371" uniqueCount="678">
  <si>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</si>
  <si>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</si>
  <si>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</si>
  <si>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</si>
  <si>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</si>
  <si>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</si>
  <si>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</si>
  <si>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</si>
  <si>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</si>
  <si>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</si>
  <si>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</si>
  <si>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</si>
  <si>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</si>
  <si>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</si>
  <si>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</si>
  <si>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</si>
  <si>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</si>
  <si>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</si>
  <si>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</si>
  <si>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</si>
  <si>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</si>
  <si>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</si>
  <si>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</si>
  <si>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</si>
  <si>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</si>
  <si>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</si>
  <si>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</si>
  <si>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</si>
  <si>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</si>
  <si>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</si>
  <si>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</si>
  <si>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</si>
  <si>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</si>
  <si>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</si>
  <si>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</si>
  <si>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</si>
  <si>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</si>
  <si>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</si>
  <si>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</si>
  <si>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</si>
  <si>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</si>
  <si>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</si>
  <si>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</si>
  <si>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</si>
  <si>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</si>
  <si>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</si>
  <si>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</si>
  <si>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</si>
  <si>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</si>
  <si>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</si>
  <si>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</si>
  <si>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</si>
  <si>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</si>
  <si>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</si>
  <si>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</si>
  <si>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</si>
  <si>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</si>
  <si>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</si>
  <si>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</si>
  <si>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</si>
  <si>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</si>
  <si>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</si>
  <si>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</si>
  <si>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</si>
  <si>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</si>
  <si>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</si>
  <si>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</si>
  <si>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</si>
  <si>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</si>
  <si>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</si>
  <si>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</si>
  <si>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</si>
  <si>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</si>
  <si>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</si>
  <si>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</si>
  <si>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</si>
  <si>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</si>
  <si>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</si>
  <si>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</si>
  <si>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</si>
  <si>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</si>
  <si>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</si>
  <si>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</si>
  <si>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</si>
  <si>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</si>
  <si>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</si>
  <si>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</si>
  <si>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</si>
  <si>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</si>
  <si>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</si>
  <si>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</si>
  <si>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</si>
  <si>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</si>
  <si>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</si>
  <si>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</si>
  <si>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</si>
  <si>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</si>
  <si>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</si>
  <si>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</si>
  <si>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</si>
  <si>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</si>
  <si>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</si>
  <si>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</si>
  <si>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</si>
  <si>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</si>
  <si>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</si>
  <si>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</si>
  <si>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</si>
  <si>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</si>
  <si>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</si>
  <si>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</si>
  <si>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</si>
  <si>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</si>
  <si>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</si>
  <si>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</si>
  <si>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</si>
  <si>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</si>
  <si>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</si>
  <si>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</si>
  <si>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</si>
  <si>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</si>
  <si>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</si>
  <si>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</si>
  <si>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</si>
  <si>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</si>
  <si>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</si>
  <si>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</si>
  <si>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</si>
  <si>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</si>
  <si>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</si>
  <si>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</si>
  <si>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</si>
  <si>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</si>
  <si>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</si>
  <si>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</si>
  <si>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</si>
  <si>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</si>
  <si>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</si>
  <si>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</si>
  <si>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</si>
  <si>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</si>
  <si>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</si>
  <si>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</si>
  <si>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</si>
  <si>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</si>
  <si>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</si>
  <si>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</si>
  <si>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</si>
  <si>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</si>
  <si>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</si>
  <si>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</si>
  <si>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</si>
  <si>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</si>
  <si>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</si>
  <si>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</si>
  <si>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</si>
  <si>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</si>
  <si>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</si>
  <si>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</si>
  <si>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</si>
  <si>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</si>
  <si>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</si>
  <si>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</si>
  <si>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</si>
  <si>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</si>
  <si>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</si>
  <si>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</si>
  <si>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</si>
  <si>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</si>
  <si>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</si>
  <si>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</si>
  <si>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</si>
  <si>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</si>
  <si>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</si>
  <si>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</si>
  <si>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</si>
  <si>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</si>
  <si>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</si>
  <si>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</si>
  <si>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</si>
  <si>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</si>
  <si>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</si>
  <si>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</si>
  <si>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</si>
  <si>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</si>
  <si>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</si>
  <si>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</si>
  <si>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</si>
  <si>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</si>
  <si>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</si>
  <si>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</si>
  <si>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</si>
  <si>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</si>
  <si>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</si>
  <si>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</si>
  <si>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</si>
  <si>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</si>
  <si>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</si>
  <si>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</si>
  <si>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</si>
  <si>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</si>
  <si>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</si>
  <si>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</si>
  <si>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</si>
  <si>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</si>
  <si>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</si>
  <si>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</si>
  <si>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</si>
  <si>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</si>
  <si>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</si>
  <si>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</si>
  <si>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</si>
  <si>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</si>
  <si>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</si>
  <si>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</si>
  <si>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</si>
  <si>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</si>
  <si>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</si>
  <si>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</si>
  <si>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</si>
  <si>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</si>
  <si>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</si>
  <si>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</si>
  <si>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</si>
  <si>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</si>
  <si>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</si>
  <si>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</si>
  <si>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</si>
  <si>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</si>
  <si>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</si>
  <si>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</si>
  <si>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</si>
  <si>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</si>
  <si>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</si>
  <si>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</si>
  <si>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</si>
  <si>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</si>
  <si>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</si>
  <si>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</si>
  <si>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</si>
  <si>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</si>
  <si>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</si>
  <si>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</si>
  <si>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</si>
  <si>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</si>
  <si>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</si>
  <si>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</si>
  <si>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</si>
  <si>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</si>
  <si>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</si>
  <si>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</si>
  <si>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</si>
  <si>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</si>
  <si>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</si>
  <si>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</si>
  <si>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</si>
  <si>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</si>
  <si>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</si>
  <si>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</si>
  <si>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</si>
  <si>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</si>
  <si>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</si>
  <si>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</si>
  <si>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</si>
  <si>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</si>
  <si>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</si>
  <si>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</si>
  <si>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</si>
  <si>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</si>
  <si>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</si>
  <si>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</si>
  <si>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</si>
  <si>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</si>
  <si>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</si>
  <si>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</si>
  <si>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</si>
  <si>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</si>
  <si>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</si>
  <si>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</si>
  <si>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</si>
  <si>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</si>
  <si>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</si>
  <si>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</si>
  <si>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</si>
  <si>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</si>
  <si>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</si>
  <si>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</si>
  <si>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</si>
  <si>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</si>
  <si>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</si>
  <si>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</si>
  <si>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</si>
  <si>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</si>
  <si>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</si>
  <si>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</si>
  <si>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</si>
  <si>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</si>
  <si>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</si>
  <si>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</si>
  <si>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</si>
  <si>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</si>
  <si>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</si>
  <si>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</si>
  <si>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</si>
  <si>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</si>
  <si>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</si>
  <si>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</si>
  <si>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</si>
  <si>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</si>
  <si>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</si>
  <si>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</si>
  <si>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</si>
  <si>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</si>
  <si>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</si>
  <si>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</si>
  <si>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</si>
  <si>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</si>
  <si>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</si>
  <si>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</si>
  <si>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</si>
  <si>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</si>
  <si>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</si>
  <si>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</si>
  <si>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</si>
  <si>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</si>
  <si>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</si>
  <si>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</si>
  <si>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</si>
  <si>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</si>
  <si>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</si>
  <si>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</si>
  <si>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</si>
  <si>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</si>
  <si>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</si>
  <si>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</si>
  <si>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</si>
  <si>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</si>
  <si>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</si>
  <si>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</si>
  <si>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</si>
  <si>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</si>
  <si>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</si>
  <si>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</si>
  <si>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</si>
  <si>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</si>
  <si>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</si>
  <si>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</si>
  <si>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</si>
  <si>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</si>
  <si>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</si>
  <si>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</si>
  <si>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</si>
  <si>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</si>
  <si>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</si>
  <si>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</si>
  <si>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</si>
  <si>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</si>
  <si>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</si>
  <si>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</si>
  <si>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</si>
  <si>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</si>
  <si>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</si>
  <si>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</si>
  <si>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</si>
  <si>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</si>
  <si>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</si>
  <si>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</si>
  <si>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</si>
  <si>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</si>
  <si>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</si>
  <si>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</si>
  <si>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</si>
  <si>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</si>
  <si>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</si>
  <si>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</si>
  <si>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</si>
  <si>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</si>
  <si>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</si>
  <si>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</si>
  <si>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</si>
  <si>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</si>
  <si>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</si>
  <si>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</si>
  <si>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</si>
  <si>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</si>
  <si>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</si>
  <si>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</si>
  <si>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</si>
  <si>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</si>
  <si>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</si>
  <si>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</si>
  <si>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</si>
  <si>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</si>
  <si>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</si>
  <si>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</si>
  <si>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</si>
  <si>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</si>
  <si>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</si>
  <si>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</si>
  <si>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</si>
  <si>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</si>
  <si>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</si>
  <si>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</si>
  <si>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</si>
  <si>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</si>
  <si>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</si>
  <si>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</si>
  <si>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</si>
  <si>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</si>
  <si>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</si>
  <si>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</si>
  <si>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</si>
  <si>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</si>
  <si>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</si>
  <si>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</si>
  <si>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</si>
  <si>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</si>
  <si>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</si>
  <si>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</si>
  <si>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</si>
  <si>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</si>
  <si>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</si>
  <si>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</si>
  <si>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</si>
  <si>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</si>
  <si>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</si>
  <si>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</si>
  <si>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</si>
  <si>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</si>
  <si>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</si>
  <si>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</si>
  <si>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</si>
  <si>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</si>
  <si>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</si>
  <si>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</si>
  <si>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</si>
  <si>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</si>
  <si>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</si>
  <si>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</si>
  <si>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</si>
  <si>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</si>
  <si>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</si>
  <si>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</si>
  <si>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</si>
  <si>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</si>
  <si>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</si>
  <si>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</si>
  <si>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</si>
  <si>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</si>
  <si>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</si>
  <si>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</si>
  <si>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</si>
  <si>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</si>
  <si>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</si>
  <si>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</si>
  <si>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</si>
  <si>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</si>
  <si>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</si>
  <si>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</si>
  <si>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</si>
  <si>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</si>
  <si>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</si>
  <si>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</si>
  <si>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</si>
  <si>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</si>
  <si>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</si>
  <si>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</si>
  <si>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</si>
  <si>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</si>
  <si>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</si>
  <si>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</si>
  <si>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</si>
  <si>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</si>
  <si>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</si>
  <si>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</si>
  <si>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</si>
  <si>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</si>
  <si>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</si>
  <si>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</si>
  <si>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</si>
  <si>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</si>
  <si>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</si>
  <si>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</si>
  <si>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</si>
  <si>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</si>
  <si>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</si>
  <si>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</si>
  <si>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</si>
  <si>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</si>
  <si>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</si>
  <si>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</si>
  <si>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</si>
  <si>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</si>
  <si>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</si>
  <si>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</si>
  <si>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</si>
  <si>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</si>
  <si>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</si>
  <si>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</si>
  <si>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</si>
  <si>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</si>
  <si>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</si>
  <si>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</si>
  <si>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</si>
  <si>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</si>
  <si>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</si>
  <si>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</si>
  <si>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</si>
  <si>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</si>
  <si>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</si>
  <si>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</si>
  <si>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</si>
  <si>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</si>
  <si>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</si>
  <si>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</si>
  <si>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</si>
  <si>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</si>
  <si>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</si>
  <si>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</si>
  <si>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</si>
  <si>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</si>
  <si>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</si>
  <si>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</si>
  <si>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</si>
  <si>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</si>
  <si>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</si>
  <si>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</si>
  <si>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</si>
  <si>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</si>
  <si>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</si>
  <si>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</si>
  <si>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</si>
  <si>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</si>
  <si>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</si>
  <si>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</si>
  <si>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</si>
  <si>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</si>
  <si>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</si>
  <si>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</si>
  <si>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</si>
  <si>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</si>
  <si>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</si>
  <si>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</si>
  <si>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</si>
  <si>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</si>
  <si>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</si>
  <si>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</si>
  <si>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</si>
  <si>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</si>
  <si>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</si>
  <si>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</si>
  <si>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</si>
  <si>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</si>
  <si>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</si>
  <si>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</si>
  <si>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</si>
  <si>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</si>
  <si>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</si>
  <si>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</si>
  <si>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</si>
  <si>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</si>
  <si>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</si>
  <si>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</si>
  <si>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</si>
  <si>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</si>
  <si>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</si>
  <si>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</si>
  <si>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</si>
  <si>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</si>
  <si>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</si>
  <si>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</si>
  <si>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</si>
  <si>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</si>
  <si>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</si>
  <si>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</si>
  <si>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</si>
  <si>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</si>
  <si>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</si>
  <si>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</si>
  <si>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</si>
  <si>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</si>
  <si>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</si>
  <si>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</si>
  <si>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</si>
  <si>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</si>
  <si>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</si>
  <si>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</si>
  <si>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</si>
  <si>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</si>
  <si>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</si>
  <si>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</si>
  <si>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</si>
  <si>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</si>
  <si>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</si>
  <si>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</si>
  <si>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</si>
  <si>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</si>
  <si>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</si>
  <si>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</si>
  <si>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</si>
  <si>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</si>
  <si>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</si>
  <si>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</si>
  <si>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</si>
  <si>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</si>
  <si>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</si>
  <si>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</si>
  <si>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</si>
  <si>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</si>
  <si>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</si>
  <si>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</si>
  <si>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</si>
  <si>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</si>
  <si>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</si>
  <si>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</si>
  <si>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</si>
  <si>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</si>
  <si>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</si>
  <si>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</si>
  <si>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</si>
  <si>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</si>
  <si>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</si>
  <si>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</si>
  <si>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</si>
  <si>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</si>
  <si>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</si>
  <si>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</si>
  <si>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</si>
  <si>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</si>
  <si>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</si>
  <si>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</si>
  <si>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</si>
  <si>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</si>
  <si>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</si>
  <si>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</si>
  <si>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</si>
  <si>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</si>
  <si>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</si>
  <si>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</si>
  <si>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</si>
  <si>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</si>
  <si>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</si>
  <si>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</si>
  <si>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</si>
  <si>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</si>
  <si>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</si>
  <si>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</si>
  <si>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</si>
  <si>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</si>
  <si>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</si>
  <si>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</si>
  <si>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</si>
  <si>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</si>
  <si>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</si>
  <si>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</si>
  <si>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</si>
  <si>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Main-Kinzig Netzdienste GmbH</t>
  </si>
  <si>
    <t>Rudolf-Diesel-Straße</t>
  </si>
  <si>
    <t>Gelnhausen</t>
  </si>
  <si>
    <t>Daniel Solero</t>
  </si>
  <si>
    <t>netznutzung@mainkinzignetzdienste.de</t>
  </si>
  <si>
    <t>06051/8233525</t>
  </si>
  <si>
    <t>GASPOOLNH7001821</t>
  </si>
  <si>
    <t>NCHN007001820000</t>
  </si>
  <si>
    <t>Meteomedia Station Nidderau</t>
  </si>
  <si>
    <t>Nidderau</t>
  </si>
  <si>
    <t>DE_GMK04</t>
  </si>
  <si>
    <t>DE_GMF04</t>
  </si>
  <si>
    <t>DE_GBD04</t>
  </si>
  <si>
    <t>DE_GBH04</t>
  </si>
  <si>
    <t>DE_GHA04</t>
  </si>
  <si>
    <t>DE_GGA04</t>
  </si>
  <si>
    <t>DE_GBA04</t>
  </si>
  <si>
    <t>DE_GWA04</t>
  </si>
  <si>
    <t>DE_GGB04</t>
  </si>
  <si>
    <t>DE_GPD04</t>
  </si>
  <si>
    <t>DE_GKO04</t>
  </si>
  <si>
    <t>DE_HEF05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</si>
</sst>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3</xdr:col>
      <xdr:colOff>690404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mainkinzignetzdienst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algorithmName="SHA-512" hashValue="XuuZfoOEQSlSDI3Bf6sdCvnVsWUGXML/GjrBkv7Hf4y4COLeLX1JzRriqtfjzsiqWXHIiykArXpwsZmJmQjmrg==" saltValue="bAgxHdl5OoOQRsjGa2izwA==" spinCount="100000" sheet="1" objects="1" scenarios="1" selectLockedCells="1" selectUnlockedCell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506</v>
      </c>
      <c r="D4" s="27">
        <v>39722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507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262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9">
        <v>9870018200004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263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264</v>
      </c>
      <c r="D15" s="43">
        <v>63571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265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266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267</v>
      </c>
      <c r="D21" s="340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268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505</v>
      </c>
      <c r="E27" s="39"/>
      <c r="F27" s="11"/>
    </row>
    <row r="28" spans="1:15">
      <c r="B28" s="15"/>
      <c r="C28" s="65" t="s">
        <v>505</v>
      </c>
      <c r="D28" s="47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397</v>
      </c>
      <c r="D29" s="44" t="s">
        <v>656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Ro64l4C0WwHlYZvDIWm1U/YPUXv3qQVJMUbP928jq1BNOnh1UGNut2s6/AzZbhGRKahWjhYMWU8BaXTUp3kJiQ==" saltValue="VMsrB+OghlXjqa4kaytRVQ==" spinCount="100000" sheet="1" objects="1" scenarios="1" selectLockedCells="1" selectUnlockedCell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5" zoomScale="130" zoomScaleNormal="130" workbookViewId="0">
      <selection activeCell="C30" sqref="C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Main-Kinzig Netzdienste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7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59" t="s">
        <v>491</v>
      </c>
      <c r="D7" s="341">
        <f>Netzbetreiber!$D$11</f>
        <v>9870018200004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261</v>
      </c>
      <c r="E11" s="15"/>
      <c r="H11" s="276" t="s">
        <v>257</v>
      </c>
      <c r="I11" s="276" t="s">
        <v>260</v>
      </c>
      <c r="J11" s="27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620</v>
      </c>
      <c r="D13" s="33" t="s">
        <v>621</v>
      </c>
      <c r="E13" s="15"/>
      <c r="H13" s="276" t="s">
        <v>621</v>
      </c>
      <c r="I13" s="276" t="s">
        <v>622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8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580</v>
      </c>
      <c r="I19" s="275" t="s">
        <v>492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493</v>
      </c>
      <c r="I20" s="275" t="s">
        <v>494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618</v>
      </c>
      <c r="D22" s="48" t="s">
        <v>614</v>
      </c>
      <c r="E22" s="15"/>
      <c r="H22" s="272" t="s">
        <v>614</v>
      </c>
      <c r="I22" s="272" t="s">
        <v>615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8" t="s">
        <v>623</v>
      </c>
      <c r="E23" s="15"/>
      <c r="H23" s="272" t="s">
        <v>617</v>
      </c>
      <c r="I23" s="8" t="s">
        <v>613</v>
      </c>
      <c r="J23" s="8"/>
      <c r="K23" s="8"/>
      <c r="L23" s="273"/>
    </row>
    <row r="24" spans="2:16" ht="15" customHeight="1">
      <c r="B24" s="22"/>
      <c r="C24" s="24" t="s">
        <v>619</v>
      </c>
      <c r="D24" s="24" t="str">
        <f>IF(D22=$H$22,L24,IF(D23=$H$24,M24,N24))</f>
        <v>=&gt;  Q(D) = KW  x  h(T, SLP-Typ)  x  F(WT)</v>
      </c>
      <c r="E24" s="15"/>
      <c r="H24" s="272" t="s">
        <v>616</v>
      </c>
      <c r="I24" s="272" t="s">
        <v>623</v>
      </c>
      <c r="J24" s="8"/>
      <c r="K24" s="8"/>
      <c r="L24" s="275" t="s">
        <v>624</v>
      </c>
      <c r="M24" s="275" t="s">
        <v>626</v>
      </c>
      <c r="N24" s="275" t="s">
        <v>625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583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627</v>
      </c>
      <c r="D27" s="42" t="s">
        <v>628</v>
      </c>
      <c r="E27" s="15"/>
      <c r="H27" s="308" t="s">
        <v>628</v>
      </c>
      <c r="I27" s="274" t="s">
        <v>629</v>
      </c>
      <c r="J27" s="274" t="s">
        <v>630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631</v>
      </c>
      <c r="I28" s="275" t="s">
        <v>632</v>
      </c>
      <c r="J28" s="275" t="s">
        <v>633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634</v>
      </c>
      <c r="I29" s="275" t="s">
        <v>635</v>
      </c>
      <c r="J29" s="275" t="s">
        <v>636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497</v>
      </c>
      <c r="C31" s="6" t="s">
        <v>582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637</v>
      </c>
      <c r="I32" s="275" t="s">
        <v>638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639</v>
      </c>
      <c r="I33" s="272" t="s">
        <v>634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554</v>
      </c>
      <c r="C35" s="24" t="s">
        <v>499</v>
      </c>
      <c r="D35" s="268">
        <v>14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555</v>
      </c>
      <c r="C37" s="5" t="s">
        <v>367</v>
      </c>
      <c r="D37" s="34">
        <v>1500000</v>
      </c>
      <c r="E37" s="15" t="s">
        <v>512</v>
      </c>
      <c r="I37" s="272"/>
      <c r="J37" s="272"/>
      <c r="K37" s="272"/>
      <c r="L37" s="272"/>
      <c r="M37" s="273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556</v>
      </c>
      <c r="C40" s="5" t="s">
        <v>368</v>
      </c>
      <c r="D40" s="36">
        <v>500</v>
      </c>
      <c r="E40" s="15" t="s">
        <v>546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545</v>
      </c>
    </row>
    <row r="44" spans="2:39" ht="18" customHeight="1">
      <c r="C44" s="3" t="s">
        <v>547</v>
      </c>
    </row>
    <row r="45" spans="2:39" ht="18" customHeight="1">
      <c r="C45" s="3"/>
    </row>
    <row r="46" spans="2:39" ht="15" customHeight="1">
      <c r="B46" s="22" t="s">
        <v>557</v>
      </c>
      <c r="C46" s="59" t="s">
        <v>581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591</v>
      </c>
      <c r="D48" s="44" t="s">
        <v>664</v>
      </c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  <row r="60" spans="3:4" ht="18" customHeight="1">
      <c r="C60" s="22" t="s">
        <v>603</v>
      </c>
      <c r="D60" s="44"/>
    </row>
    <row r="61" spans="3:4" ht="18" customHeight="1">
      <c r="C61" s="22" t="s">
        <v>604</v>
      </c>
      <c r="D61" s="44"/>
    </row>
    <row r="62" spans="3:4" ht="18" customHeight="1">
      <c r="C62" s="22" t="s">
        <v>605</v>
      </c>
      <c r="D62" s="44"/>
    </row>
  </sheetData>
  <sheetProtection algorithmName="SHA-512" hashValue="hp3we5NLdmRO27SZIt0Lz6NsCKWB4l5eVJd7WFQx4+hv9BBAlHgc95XgQTeW5aNWRlO9q4Qz19jrGNIfmSXP7g==" saltValue="JD+N3suo+Es1nqDR+TztIw==" spinCount="100000" sheet="1" objects="1" scenarios="1" selectLockedCells="1" selectUnlockedCell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C30" sqref="C3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549</v>
      </c>
    </row>
    <row r="3" spans="1:56" ht="15" customHeight="1">
      <c r="B3" s="171"/>
    </row>
    <row r="4" spans="1:56">
      <c r="B4" s="130"/>
      <c r="C4" s="55" t="s">
        <v>448</v>
      </c>
      <c r="D4" s="56"/>
      <c r="E4" s="57" t="s">
        <v>490</v>
      </c>
      <c r="F4" s="130"/>
      <c r="M4" s="130"/>
      <c r="N4" s="130"/>
      <c r="O4" s="130"/>
    </row>
    <row r="5" spans="1:56">
      <c r="B5" s="130"/>
      <c r="C5" s="55" t="s">
        <v>447</v>
      </c>
      <c r="D5" s="56"/>
      <c r="E5" s="57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491</v>
      </c>
      <c r="D6" s="56"/>
      <c r="E6" s="345">
        <f>Netzbetreiber!D11</f>
        <v>9870018200004</v>
      </c>
      <c r="F6" s="345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527</v>
      </c>
      <c r="D9" s="130"/>
      <c r="E9" s="130"/>
      <c r="F9" s="154">
        <f>'SLP-Verfahren'!D46</f>
        <v>1</v>
      </c>
      <c r="H9" s="172" t="s">
        <v>606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590</v>
      </c>
      <c r="D10" s="130"/>
      <c r="E10" s="130"/>
      <c r="F10" s="299">
        <v>1</v>
      </c>
      <c r="G10" s="56"/>
      <c r="H10" s="172" t="s">
        <v>607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608</v>
      </c>
      <c r="D11" s="130"/>
      <c r="E11" s="130"/>
      <c r="F11" s="296" t="str">
        <f>INDEX('SLP-Verfahren'!D48:D62,'SLP-Temp-Gebiet #01'!F10)</f>
        <v>Meteomedia Station Nidderau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589</v>
      </c>
      <c r="D13" s="342"/>
      <c r="E13" s="342"/>
      <c r="F13" s="183" t="s">
        <v>553</v>
      </c>
      <c r="G13" s="130" t="s">
        <v>551</v>
      </c>
      <c r="H13" s="265" t="s">
        <v>568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451</v>
      </c>
      <c r="D14" s="343"/>
      <c r="E14" s="89" t="s">
        <v>452</v>
      </c>
      <c r="F14" s="266" t="s">
        <v>85</v>
      </c>
      <c r="G14" s="267" t="s">
        <v>577</v>
      </c>
      <c r="H14" s="50">
        <v>0</v>
      </c>
      <c r="I14" s="56"/>
      <c r="J14" s="130"/>
      <c r="K14" s="130"/>
      <c r="L14" s="130"/>
      <c r="M14" s="130"/>
      <c r="N14" s="130"/>
      <c r="O14" s="173" t="s">
        <v>532</v>
      </c>
      <c r="R14" s="209" t="s">
        <v>569</v>
      </c>
      <c r="S14" s="209" t="s">
        <v>570</v>
      </c>
      <c r="T14" s="209" t="s">
        <v>571</v>
      </c>
      <c r="U14" s="209" t="s">
        <v>572</v>
      </c>
      <c r="V14" s="209" t="s">
        <v>552</v>
      </c>
      <c r="W14" s="209" t="s">
        <v>573</v>
      </c>
      <c r="X14" s="209" t="s">
        <v>574</v>
      </c>
      <c r="Y14" s="209" t="s">
        <v>575</v>
      </c>
      <c r="Z14" s="209" t="s">
        <v>576</v>
      </c>
      <c r="AA14" s="209" t="s">
        <v>577</v>
      </c>
      <c r="AB14" s="209" t="s">
        <v>578</v>
      </c>
      <c r="AC14" s="209" t="s">
        <v>579</v>
      </c>
    </row>
    <row r="15" spans="1:56" ht="19.5" customHeight="1">
      <c r="B15" s="130"/>
      <c r="C15" s="343" t="s">
        <v>389</v>
      </c>
      <c r="D15" s="343"/>
      <c r="E15" s="89" t="s">
        <v>452</v>
      </c>
      <c r="F15" s="266" t="s">
        <v>71</v>
      </c>
      <c r="G15" s="267" t="s">
        <v>571</v>
      </c>
      <c r="H15" s="50">
        <v>0</v>
      </c>
      <c r="I15" s="56"/>
      <c r="J15" s="130"/>
      <c r="K15" s="130"/>
      <c r="L15" s="130"/>
      <c r="M15" s="130"/>
      <c r="N15" s="130"/>
      <c r="O15" s="161" t="s">
        <v>533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497</v>
      </c>
      <c r="AI15" s="264" t="s">
        <v>554</v>
      </c>
      <c r="AJ15" s="264" t="s">
        <v>555</v>
      </c>
      <c r="AK15" s="264" t="s">
        <v>556</v>
      </c>
      <c r="AL15" s="264" t="s">
        <v>557</v>
      </c>
      <c r="AM15" s="264" t="s">
        <v>558</v>
      </c>
      <c r="AN15" s="264" t="s">
        <v>559</v>
      </c>
      <c r="AO15" s="264" t="s">
        <v>560</v>
      </c>
      <c r="AP15" s="264" t="s">
        <v>561</v>
      </c>
      <c r="AQ15" s="264" t="s">
        <v>562</v>
      </c>
      <c r="AR15" s="264" t="s">
        <v>563</v>
      </c>
      <c r="AS15" s="264" t="s">
        <v>564</v>
      </c>
      <c r="AT15" s="264" t="s">
        <v>565</v>
      </c>
      <c r="AU15" s="264" t="s">
        <v>566</v>
      </c>
      <c r="AV15" s="264" t="s">
        <v>567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522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528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523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530</v>
      </c>
      <c r="D21" s="153" t="s">
        <v>521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542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508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508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525</v>
      </c>
      <c r="D24" s="188"/>
      <c r="E24" s="156" t="s">
        <v>665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526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520</v>
      </c>
      <c r="D25" s="188"/>
      <c r="E25" s="160">
        <v>10638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509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531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538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454</v>
      </c>
      <c r="D34" s="153" t="s">
        <v>453</v>
      </c>
      <c r="E34" s="156" t="s">
        <v>517</v>
      </c>
      <c r="F34" s="156" t="s">
        <v>517</v>
      </c>
      <c r="G34" s="156" t="s">
        <v>517</v>
      </c>
      <c r="H34" s="156" t="s">
        <v>517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610</v>
      </c>
      <c r="D35" s="153" t="s">
        <v>611</v>
      </c>
      <c r="E35" s="156" t="s">
        <v>609</v>
      </c>
      <c r="F35" s="156" t="s">
        <v>609</v>
      </c>
      <c r="G35" s="156" t="s">
        <v>609</v>
      </c>
      <c r="H35" s="156" t="s">
        <v>609</v>
      </c>
      <c r="I35" s="156" t="s">
        <v>609</v>
      </c>
      <c r="J35" s="156" t="s">
        <v>609</v>
      </c>
      <c r="K35" s="156" t="s">
        <v>609</v>
      </c>
      <c r="L35" s="156" t="s">
        <v>609</v>
      </c>
      <c r="M35" s="156" t="s">
        <v>609</v>
      </c>
      <c r="N35" s="156" t="s">
        <v>609</v>
      </c>
      <c r="O35" s="185" t="s">
        <v>142</v>
      </c>
      <c r="Q35" s="211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446</v>
      </c>
      <c r="D36" s="119" t="s">
        <v>543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536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529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540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541</v>
      </c>
      <c r="D46" s="201" t="s">
        <v>539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539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584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523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530</v>
      </c>
      <c r="D55" s="153" t="s">
        <v>521</v>
      </c>
      <c r="E55" s="287">
        <f>1-SUMPRODUCT(F53:N53,F55:N55)</f>
        <v>1</v>
      </c>
      <c r="F55" s="287">
        <f>ROUND(F56/$D$56,4)</f>
        <v>0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542</v>
      </c>
      <c r="D56" s="186">
        <f>SUMPRODUCT(E56:N56,E53:N53)</f>
        <v>1</v>
      </c>
      <c r="E56" s="288">
        <f>E22</f>
        <v>1</v>
      </c>
      <c r="F56" s="288">
        <f t="shared" ref="F56:N56" si="6">F22</f>
        <v>0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MeteoGroup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525</v>
      </c>
      <c r="D58" s="188"/>
      <c r="E58" s="156" t="str">
        <f>E24</f>
        <v>Nidderau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526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60">
        <f>E25</f>
        <v>10638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>
        <f t="shared" ref="F60:N60" si="10">F26</f>
        <v>0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531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538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610</v>
      </c>
      <c r="D69" s="153" t="s">
        <v>611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446</v>
      </c>
      <c r="D70" s="119" t="s">
        <v>543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44" t="s">
        <v>585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algorithmName="SHA-512" hashValue="Eik0cy3NQ3W8egqYbn0eXWigpGtLIMSN9kT2LQKsvl1XpxBP7kY8KnRpHE++Sk3oDecxfJc30MdNoPmSaHedoA==" saltValue="SkLjbzUuEdKj+Gq9rbCnow==" spinCount="100000" sheet="1" objects="1" scenarios="1" selectLockedCells="1" selectUnlockedCells="1"/>
  <mergeCells count="5">
    <mergeCell ref="C13:E13"/>
    <mergeCell ref="C14:D14"/>
    <mergeCell ref="C15:D15"/>
    <mergeCell ref="C72:F72"/>
    <mergeCell ref="E6:F6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 E56:N60 E22 I22:N22 F52 F62 G24:N24 G70:N70 E32:N34 E69:N69 G25:N2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549</v>
      </c>
    </row>
    <row r="3" spans="1:56" ht="15" customHeight="1">
      <c r="B3" s="171"/>
    </row>
    <row r="4" spans="1:56">
      <c r="B4" s="130"/>
      <c r="C4" s="55" t="s">
        <v>448</v>
      </c>
      <c r="D4" s="56"/>
      <c r="E4" s="57" t="s">
        <v>490</v>
      </c>
      <c r="F4" s="130"/>
      <c r="M4" s="130"/>
      <c r="N4" s="130"/>
      <c r="O4" s="130"/>
    </row>
    <row r="5" spans="1:56">
      <c r="B5" s="130"/>
      <c r="C5" s="55" t="s">
        <v>447</v>
      </c>
      <c r="D5" s="56"/>
      <c r="E5" s="57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491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527</v>
      </c>
      <c r="D9" s="130"/>
      <c r="E9" s="130"/>
      <c r="F9" s="154">
        <f>'SLP-Verfahren'!D46</f>
        <v>1</v>
      </c>
      <c r="H9" s="172" t="s">
        <v>606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590</v>
      </c>
      <c r="D10" s="130"/>
      <c r="E10" s="130"/>
      <c r="F10" s="299">
        <v>2</v>
      </c>
      <c r="G10" s="56"/>
      <c r="H10" s="172" t="s">
        <v>607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608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2" t="s">
        <v>589</v>
      </c>
      <c r="D13" s="342"/>
      <c r="E13" s="342"/>
      <c r="F13" s="183" t="s">
        <v>553</v>
      </c>
      <c r="G13" s="130" t="s">
        <v>551</v>
      </c>
      <c r="H13" s="265" t="s">
        <v>568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3" t="s">
        <v>451</v>
      </c>
      <c r="D14" s="343"/>
      <c r="E14" s="89" t="s">
        <v>452</v>
      </c>
      <c r="F14" s="266" t="s">
        <v>85</v>
      </c>
      <c r="G14" s="267" t="s">
        <v>577</v>
      </c>
      <c r="H14" s="50">
        <v>0</v>
      </c>
      <c r="I14" s="56"/>
      <c r="J14" s="130"/>
      <c r="K14" s="130"/>
      <c r="L14" s="130"/>
      <c r="M14" s="130"/>
      <c r="N14" s="130"/>
      <c r="O14" s="173" t="s">
        <v>532</v>
      </c>
      <c r="R14" s="209" t="s">
        <v>569</v>
      </c>
      <c r="S14" s="209" t="s">
        <v>570</v>
      </c>
      <c r="T14" s="209" t="s">
        <v>571</v>
      </c>
      <c r="U14" s="209" t="s">
        <v>572</v>
      </c>
      <c r="V14" s="209" t="s">
        <v>552</v>
      </c>
      <c r="W14" s="209" t="s">
        <v>573</v>
      </c>
      <c r="X14" s="209" t="s">
        <v>574</v>
      </c>
      <c r="Y14" s="209" t="s">
        <v>575</v>
      </c>
      <c r="Z14" s="209" t="s">
        <v>576</v>
      </c>
      <c r="AA14" s="209" t="s">
        <v>577</v>
      </c>
      <c r="AB14" s="209" t="s">
        <v>578</v>
      </c>
      <c r="AC14" s="209" t="s">
        <v>579</v>
      </c>
    </row>
    <row r="15" spans="1:56" ht="19.5" customHeight="1">
      <c r="B15" s="130"/>
      <c r="C15" s="343" t="s">
        <v>389</v>
      </c>
      <c r="D15" s="343"/>
      <c r="E15" s="89" t="s">
        <v>452</v>
      </c>
      <c r="F15" s="266" t="s">
        <v>71</v>
      </c>
      <c r="G15" s="267" t="s">
        <v>571</v>
      </c>
      <c r="H15" s="50">
        <v>0</v>
      </c>
      <c r="I15" s="56"/>
      <c r="J15" s="130"/>
      <c r="K15" s="130"/>
      <c r="L15" s="130"/>
      <c r="M15" s="130"/>
      <c r="N15" s="130"/>
      <c r="O15" s="161" t="s">
        <v>533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497</v>
      </c>
      <c r="AI15" s="264" t="s">
        <v>554</v>
      </c>
      <c r="AJ15" s="264" t="s">
        <v>555</v>
      </c>
      <c r="AK15" s="264" t="s">
        <v>556</v>
      </c>
      <c r="AL15" s="264" t="s">
        <v>557</v>
      </c>
      <c r="AM15" s="264" t="s">
        <v>558</v>
      </c>
      <c r="AN15" s="264" t="s">
        <v>559</v>
      </c>
      <c r="AO15" s="264" t="s">
        <v>560</v>
      </c>
      <c r="AP15" s="264" t="s">
        <v>561</v>
      </c>
      <c r="AQ15" s="264" t="s">
        <v>562</v>
      </c>
      <c r="AR15" s="264" t="s">
        <v>563</v>
      </c>
      <c r="AS15" s="264" t="s">
        <v>564</v>
      </c>
      <c r="AT15" s="264" t="s">
        <v>565</v>
      </c>
      <c r="AU15" s="264" t="s">
        <v>566</v>
      </c>
      <c r="AV15" s="264" t="s">
        <v>567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522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528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523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530</v>
      </c>
      <c r="D21" s="153" t="s">
        <v>521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542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508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525</v>
      </c>
      <c r="D24" s="188"/>
      <c r="E24" s="156" t="s">
        <v>586</v>
      </c>
      <c r="F24" s="156" t="s">
        <v>587</v>
      </c>
      <c r="G24" s="156"/>
      <c r="H24" s="156"/>
      <c r="I24" s="156"/>
      <c r="J24" s="156"/>
      <c r="K24" s="156"/>
      <c r="L24" s="156"/>
      <c r="M24" s="156"/>
      <c r="N24" s="156"/>
      <c r="O24" s="185" t="s">
        <v>526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520</v>
      </c>
      <c r="D25" s="188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509</v>
      </c>
      <c r="F26" s="156" t="s">
        <v>509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531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538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3"/>
      <c r="C34" s="187" t="s">
        <v>454</v>
      </c>
      <c r="D34" s="153" t="s">
        <v>453</v>
      </c>
      <c r="E34" s="156" t="s">
        <v>517</v>
      </c>
      <c r="F34" s="156" t="s">
        <v>517</v>
      </c>
      <c r="G34" s="156" t="s">
        <v>517</v>
      </c>
      <c r="H34" s="156" t="s">
        <v>517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610</v>
      </c>
      <c r="D35" s="153" t="s">
        <v>611</v>
      </c>
      <c r="E35" s="156" t="s">
        <v>609</v>
      </c>
      <c r="F35" s="156" t="s">
        <v>609</v>
      </c>
      <c r="G35" s="156" t="s">
        <v>609</v>
      </c>
      <c r="H35" s="156" t="s">
        <v>609</v>
      </c>
      <c r="I35" s="156" t="s">
        <v>609</v>
      </c>
      <c r="J35" s="156" t="s">
        <v>609</v>
      </c>
      <c r="K35" s="156" t="s">
        <v>609</v>
      </c>
      <c r="L35" s="156" t="s">
        <v>609</v>
      </c>
      <c r="M35" s="156" t="s">
        <v>609</v>
      </c>
      <c r="N35" s="156" t="s">
        <v>609</v>
      </c>
      <c r="O35" s="185" t="s">
        <v>142</v>
      </c>
      <c r="Q35" s="211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446</v>
      </c>
      <c r="D36" s="119" t="s">
        <v>543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536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529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540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541</v>
      </c>
      <c r="D46" s="201" t="s">
        <v>539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539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584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523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530</v>
      </c>
      <c r="D55" s="153" t="s">
        <v>521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542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525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526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531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538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610</v>
      </c>
      <c r="D69" s="153" t="s">
        <v>611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446</v>
      </c>
      <c r="D70" s="119" t="s">
        <v>543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44" t="s">
        <v>585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E11" sqref="E1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17.1406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371</v>
      </c>
      <c r="D5" s="53" t="str">
        <f>Netzbetreiber!$D$9</f>
        <v>Main-Kinzig Netzdienste GmbH</v>
      </c>
      <c r="E5" s="130"/>
      <c r="H5" s="88" t="s">
        <v>501</v>
      </c>
      <c r="I5" s="131" t="s">
        <v>504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338</v>
      </c>
      <c r="D6" s="53" t="str">
        <f>Netzbetreiber!$D$28</f>
        <v>Angaben gelten für alle Netzgebiete</v>
      </c>
      <c r="E6" s="130"/>
      <c r="F6" s="130"/>
      <c r="I6" s="131" t="s">
        <v>514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491</v>
      </c>
      <c r="D7" s="346">
        <f>Netzbetreiber!$D$11</f>
        <v>9870018200004</v>
      </c>
      <c r="E7" s="346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42278</v>
      </c>
      <c r="E8" s="130"/>
      <c r="F8" s="130"/>
      <c r="H8" s="128" t="s">
        <v>499</v>
      </c>
      <c r="J8" s="132">
        <f>COUNTA(D12:D25)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147</v>
      </c>
      <c r="E10" s="277" t="s">
        <v>516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640</v>
      </c>
      <c r="M10" s="150" t="s">
        <v>649</v>
      </c>
      <c r="N10" s="151" t="s">
        <v>650</v>
      </c>
      <c r="O10" s="151" t="s">
        <v>651</v>
      </c>
      <c r="P10" s="152" t="s">
        <v>652</v>
      </c>
      <c r="Q10" s="146" t="s">
        <v>641</v>
      </c>
      <c r="R10" s="136" t="s">
        <v>642</v>
      </c>
      <c r="S10" s="137" t="s">
        <v>643</v>
      </c>
      <c r="T10" s="137" t="s">
        <v>644</v>
      </c>
      <c r="U10" s="137" t="s">
        <v>645</v>
      </c>
      <c r="V10" s="137" t="s">
        <v>646</v>
      </c>
      <c r="W10" s="137" t="s">
        <v>647</v>
      </c>
      <c r="X10" s="138" t="s">
        <v>648</v>
      </c>
      <c r="Y10" s="305" t="s">
        <v>653</v>
      </c>
    </row>
    <row r="11" spans="2:26" ht="15.75" thickBot="1">
      <c r="B11" s="139" t="s">
        <v>500</v>
      </c>
      <c r="C11" s="140" t="s">
        <v>515</v>
      </c>
      <c r="D11" s="304" t="s">
        <v>248</v>
      </c>
      <c r="E11" s="164" t="s">
        <v>677</v>
      </c>
      <c r="F11" s="306" t="str">
        <f>VLOOKUP($E11,'BDEW-Standard'!$B$3:$M$158,F$9,0)</f>
        <v>D15</v>
      </c>
      <c r="H11" s="167">
        <f>ROUND(VLOOKUP($E11,'BDEW-Standard'!$B$3:$M$158,H$9,0),7)</f>
        <v>3.3456667000000002</v>
      </c>
      <c r="I11" s="167">
        <f>ROUND(VLOOKUP($E11,'BDEW-Standard'!$B$3:$M$158,I$9,0),7)</f>
        <v>-37.526831600000001</v>
      </c>
      <c r="J11" s="167">
        <f>ROUND(VLOOKUP($E11,'BDEW-Standard'!$B$3:$M$158,J$9,0),7)</f>
        <v>6.4328937000000002</v>
      </c>
      <c r="K11" s="167">
        <f>ROUND(VLOOKUP($E11,'BDEW-Standard'!$B$3:$M$158,K$9,0),7)</f>
        <v>5.6256599999999997E-2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0.93976653032332869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248</v>
      </c>
      <c r="E12" s="165" t="s">
        <v>23</v>
      </c>
      <c r="F12" s="307" t="str">
        <f>VLOOKUP($E12,'BDEW-Standard'!$B$3:$M$154,F$9,0)</f>
        <v>F14</v>
      </c>
      <c r="H12" s="278">
        <f>ROUND(VLOOKUP($E12,'BDEW-Standard'!$B$3:$M$158,H$9,0),7)</f>
        <v>3.1935978</v>
      </c>
      <c r="I12" s="278">
        <f>ROUND(VLOOKUP($E12,'BDEW-Standard'!$B$3:$M$154,I$9,0),7)</f>
        <v>-37.414247799999998</v>
      </c>
      <c r="J12" s="278">
        <f>ROUND(VLOOKUP($E12,'BDEW-Standard'!$B$3:$M$154,J$9,0),7)</f>
        <v>6.1824021</v>
      </c>
      <c r="K12" s="278">
        <f>ROUND(VLOOKUP($E12,'BDEW-Standard'!$B$3:$M$154,K$9,0),7)</f>
        <v>7.4862499999999998E-2</v>
      </c>
      <c r="L12" s="279">
        <f>ROUND(VLOOKUP($E12,'BDEW-Standard'!$B$3:$M$154,L$9,0),1)</f>
        <v>40</v>
      </c>
      <c r="M12" s="278">
        <f>ROUND(VLOOKUP($E12,'BDEW-Standard'!$B$3:$M$154,M$9,0),7)</f>
        <v>0</v>
      </c>
      <c r="N12" s="278">
        <f>ROUND(VLOOKUP($E12,'BDEW-Standard'!$B$3:$M$154,N$9,0),7)</f>
        <v>0</v>
      </c>
      <c r="O12" s="278">
        <f>ROUND(VLOOKUP($E12,'BDEW-Standard'!$B$3:$M$154,O$9,0),7)</f>
        <v>0</v>
      </c>
      <c r="P12" s="278">
        <f>ROUND(VLOOKUP($E12,'BDEW-Standard'!$B$3:$M$154,P$9,0),7)</f>
        <v>0</v>
      </c>
      <c r="Q12" s="280">
        <f t="shared" ref="Q12:Q25" si="1">($H12/(1+($I12/($Q$9-$L12))^$J12)+$K12)+MAX($M12*$Q$9+$N12,$O12*$Q$9+$P12)</f>
        <v>0.9550096118679563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248</v>
      </c>
      <c r="E13" s="165" t="s">
        <v>31</v>
      </c>
      <c r="F13" s="307" t="str">
        <f>VLOOKUP($E13,'BDEW-Standard'!$B$3:$M$154,F$9,0)</f>
        <v>F24</v>
      </c>
      <c r="H13" s="278">
        <f>ROUND(VLOOKUP($E13,'BDEW-Standard'!$B$3:$M$154,H$9,0),7)</f>
        <v>2.529738</v>
      </c>
      <c r="I13" s="278">
        <f>ROUND(VLOOKUP($E13,'BDEW-Standard'!$B$3:$M$154,I$9,0),7)</f>
        <v>-35.0300145</v>
      </c>
      <c r="J13" s="278">
        <f>ROUND(VLOOKUP($E13,'BDEW-Standard'!$B$3:$M$154,J$9,0),7)</f>
        <v>6.2051109000000002</v>
      </c>
      <c r="K13" s="278">
        <f>ROUND(VLOOKUP($E13,'BDEW-Standard'!$B$3:$M$154,K$9,0),7)</f>
        <v>9.7709000000000004E-2</v>
      </c>
      <c r="L13" s="279">
        <f>ROUND(VLOOKUP($E13,'BDEW-Standard'!$B$3:$M$154,L$9,0),1)</f>
        <v>40</v>
      </c>
      <c r="M13" s="278">
        <f>ROUND(VLOOKUP($E13,'BDEW-Standard'!$B$3:$M$154,M$9,0),7)</f>
        <v>0</v>
      </c>
      <c r="N13" s="278">
        <f>ROUND(VLOOKUP($E13,'BDEW-Standard'!$B$3:$M$154,N$9,0),7)</f>
        <v>0</v>
      </c>
      <c r="O13" s="278">
        <f>ROUND(VLOOKUP($E13,'BDEW-Standard'!$B$3:$M$154,O$9,0),7)</f>
        <v>0</v>
      </c>
      <c r="P13" s="278">
        <f>ROUND(VLOOKUP($E13,'BDEW-Standard'!$B$3:$M$154,P$9,0),7)</f>
        <v>0</v>
      </c>
      <c r="Q13" s="280">
        <f t="shared" si="1"/>
        <v>1.0165856991768873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5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248</v>
      </c>
      <c r="E14" s="165" t="s">
        <v>4</v>
      </c>
      <c r="F14" s="307" t="str">
        <f>VLOOKUP($E14,'BDEW-Standard'!$B$3:$M$154,F$9,0)</f>
        <v>HK3</v>
      </c>
      <c r="H14" s="278">
        <f>ROUND(VLOOKUP($E14,'BDEW-Standard'!$B$3:$M$154,H$9,0),7)</f>
        <v>0.40409319999999999</v>
      </c>
      <c r="I14" s="278">
        <f>ROUND(VLOOKUP($E14,'BDEW-Standard'!$B$3:$M$154,I$9,0),7)</f>
        <v>-24.439296800000001</v>
      </c>
      <c r="J14" s="278">
        <f>ROUND(VLOOKUP($E14,'BDEW-Standard'!$B$3:$M$154,J$9,0),7)</f>
        <v>6.5718174999999999</v>
      </c>
      <c r="K14" s="278">
        <f>ROUND(VLOOKUP($E14,'BDEW-Standard'!$B$3:$M$154,K$9,0),7)</f>
        <v>0.71077100000000004</v>
      </c>
      <c r="L14" s="279">
        <f>ROUND(VLOOKUP($E14,'BDEW-Standard'!$B$3:$M$154,L$9,0),1)</f>
        <v>40</v>
      </c>
      <c r="M14" s="278">
        <f>ROUND(VLOOKUP($E14,'BDEW-Standard'!$B$3:$M$154,M$9,0),7)</f>
        <v>0</v>
      </c>
      <c r="N14" s="278">
        <f>ROUND(VLOOKUP($E14,'BDEW-Standard'!$B$3:$M$154,N$9,0),7)</f>
        <v>0</v>
      </c>
      <c r="O14" s="278">
        <f>ROUND(VLOOKUP($E14,'BDEW-Standard'!$B$3:$M$154,O$9,0),7)</f>
        <v>0</v>
      </c>
      <c r="P14" s="278">
        <f>ROUND(VLOOKUP($E14,'BDEW-Standard'!$B$3:$M$154,P$9,0),7)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248</v>
      </c>
      <c r="E15" s="165" t="s">
        <v>667</v>
      </c>
      <c r="F15" s="307" t="str">
        <f>VLOOKUP($E15,'BDEW-Standard'!$B$3:$M$154,F$9,0)</f>
        <v>MF4</v>
      </c>
      <c r="H15" s="278">
        <f>ROUND(VLOOKUP($E15,'BDEW-Standard'!$B$3:$M$154,H$9,0),7)</f>
        <v>2.5187775000000001</v>
      </c>
      <c r="I15" s="278">
        <f>ROUND(VLOOKUP($E15,'BDEW-Standard'!$B$3:$M$154,I$9,0),7)</f>
        <v>-35.033375399999997</v>
      </c>
      <c r="J15" s="278">
        <f>ROUND(VLOOKUP($E15,'BDEW-Standard'!$B$3:$M$154,J$9,0),7)</f>
        <v>6.2240634000000004</v>
      </c>
      <c r="K15" s="278">
        <f>ROUND(VLOOKUP($E15,'BDEW-Standard'!$B$3:$M$154,K$9,0),7)</f>
        <v>0.10107820000000001</v>
      </c>
      <c r="L15" s="279">
        <f>ROUND(VLOOKUP($E15,'BDEW-Standard'!$B$3:$M$154,L$9,0),1)</f>
        <v>40</v>
      </c>
      <c r="M15" s="278">
        <f>ROUND(VLOOKUP($E15,'BDEW-Standard'!$B$3:$M$154,M$9,0),7)</f>
        <v>0</v>
      </c>
      <c r="N15" s="278">
        <f>ROUND(VLOOKUP($E15,'BDEW-Standard'!$B$3:$M$154,N$9,0),7)</f>
        <v>0</v>
      </c>
      <c r="O15" s="278">
        <f>ROUND(VLOOKUP($E15,'BDEW-Standard'!$B$3:$M$154,O$9,0),7)</f>
        <v>0</v>
      </c>
      <c r="P15" s="278">
        <f>ROUND(VLOOKUP($E15,'BDEW-Standard'!$B$3:$M$154,P$9,0),7)</f>
        <v>0</v>
      </c>
      <c r="Q15" s="280">
        <f t="shared" si="1"/>
        <v>1.0146273685996503</v>
      </c>
      <c r="R15" s="281">
        <f>ROUND(VLOOKUP(MID($E15,4,3),'Wochentag F(WT)'!$B$7:$J$22,R$9,0),4)</f>
        <v>1.0354000000000001</v>
      </c>
      <c r="S15" s="281">
        <f>ROUND(VLOOKUP(MID($E15,4,3),'Wochentag F(WT)'!$B$7:$J$22,S$9,0),4)</f>
        <v>1.0523</v>
      </c>
      <c r="T15" s="281">
        <f>ROUND(VLOOKUP(MID($E15,4,3),'Wochentag F(WT)'!$B$7:$J$22,T$9,0),4)</f>
        <v>1.0448999999999999</v>
      </c>
      <c r="U15" s="281">
        <f>ROUND(VLOOKUP(MID($E15,4,3),'Wochentag F(WT)'!$B$7:$J$22,U$9,0),4)</f>
        <v>1.0494000000000001</v>
      </c>
      <c r="V15" s="281">
        <f>ROUND(VLOOKUP(MID($E15,4,3),'Wochentag F(WT)'!$B$7:$J$22,V$9,0),4)</f>
        <v>0.98850000000000005</v>
      </c>
      <c r="W15" s="281">
        <f>ROUND(VLOOKUP(MID($E15,4,3),'Wochentag F(WT)'!$B$7:$J$22,W$9,0),4)</f>
        <v>0.88600000000000001</v>
      </c>
      <c r="X15" s="282">
        <f t="shared" si="2"/>
        <v>0.94349999999999934</v>
      </c>
      <c r="Y15" s="303"/>
      <c r="Z15" s="212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248</v>
      </c>
      <c r="E16" s="165" t="s">
        <v>666</v>
      </c>
      <c r="F16" s="307" t="str">
        <f>VLOOKUP($E16,'BDEW-Standard'!$B$3:$M$154,F$9,0)</f>
        <v>MK4</v>
      </c>
      <c r="H16" s="278">
        <f>ROUND(VLOOKUP($E16,'BDEW-Standard'!$B$3:$M$154,H$9,0),7)</f>
        <v>3.1177248</v>
      </c>
      <c r="I16" s="278">
        <f>ROUND(VLOOKUP($E16,'BDEW-Standard'!$B$3:$M$154,I$9,0),7)</f>
        <v>-35.871506199999999</v>
      </c>
      <c r="J16" s="278">
        <f>ROUND(VLOOKUP($E16,'BDEW-Standard'!$B$3:$M$154,J$9,0),7)</f>
        <v>7.5186828999999999</v>
      </c>
      <c r="K16" s="278">
        <f>ROUND(VLOOKUP($E16,'BDEW-Standard'!$B$3:$M$154,K$9,0),7)</f>
        <v>3.4330100000000002E-2</v>
      </c>
      <c r="L16" s="279">
        <f>ROUND(VLOOKUP($E16,'BDEW-Standard'!$B$3:$M$154,L$9,0),1)</f>
        <v>40</v>
      </c>
      <c r="M16" s="278">
        <f>ROUND(VLOOKUP($E16,'BDEW-Standard'!$B$3:$M$154,M$9,0),7)</f>
        <v>0</v>
      </c>
      <c r="N16" s="278">
        <f>ROUND(VLOOKUP($E16,'BDEW-Standard'!$B$3:$M$154,N$9,0),7)</f>
        <v>0</v>
      </c>
      <c r="O16" s="278">
        <f>ROUND(VLOOKUP($E16,'BDEW-Standard'!$B$3:$M$154,O$9,0),7)</f>
        <v>0</v>
      </c>
      <c r="P16" s="278">
        <f>ROUND(VLOOKUP($E16,'BDEW-Standard'!$B$3:$M$154,P$9,0),7)</f>
        <v>0</v>
      </c>
      <c r="Q16" s="280">
        <f t="shared" si="1"/>
        <v>0.9622064996731321</v>
      </c>
      <c r="R16" s="281">
        <f>ROUND(VLOOKUP(MID($E16,4,3),'Wochentag F(WT)'!$B$7:$J$22,R$9,0),4)</f>
        <v>1.0699000000000001</v>
      </c>
      <c r="S16" s="281">
        <f>ROUND(VLOOKUP(MID($E16,4,3),'Wochentag F(WT)'!$B$7:$J$22,S$9,0),4)</f>
        <v>1.0365</v>
      </c>
      <c r="T16" s="281">
        <f>ROUND(VLOOKUP(MID($E16,4,3),'Wochentag F(WT)'!$B$7:$J$22,T$9,0),4)</f>
        <v>0.99329999999999996</v>
      </c>
      <c r="U16" s="281">
        <f>ROUND(VLOOKUP(MID($E16,4,3),'Wochentag F(WT)'!$B$7:$J$22,U$9,0),4)</f>
        <v>0.99480000000000002</v>
      </c>
      <c r="V16" s="281">
        <f>ROUND(VLOOKUP(MID($E16,4,3),'Wochentag F(WT)'!$B$7:$J$22,V$9,0),4)</f>
        <v>1.0659000000000001</v>
      </c>
      <c r="W16" s="281">
        <f>ROUND(VLOOKUP(MID($E16,4,3),'Wochentag F(WT)'!$B$7:$J$22,W$9,0),4)</f>
        <v>0.93620000000000003</v>
      </c>
      <c r="X16" s="282">
        <f t="shared" si="2"/>
        <v>0.90339999999999954</v>
      </c>
      <c r="Y16" s="303"/>
      <c r="Z16" s="212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248</v>
      </c>
      <c r="E17" s="165" t="s">
        <v>676</v>
      </c>
      <c r="F17" s="307" t="str">
        <f>VLOOKUP($E17,'BDEW-Standard'!$B$3:$M$154,F$9,0)</f>
        <v>KO4</v>
      </c>
      <c r="H17" s="278">
        <f>ROUND(VLOOKUP($E17,'BDEW-Standard'!$B$3:$M$154,H$9,0),7)</f>
        <v>3.4428942999999999</v>
      </c>
      <c r="I17" s="278">
        <f>ROUND(VLOOKUP($E17,'BDEW-Standard'!$B$3:$M$154,I$9,0),7)</f>
        <v>-36.659050399999998</v>
      </c>
      <c r="J17" s="278">
        <f>ROUND(VLOOKUP($E17,'BDEW-Standard'!$B$3:$M$154,J$9,0),7)</f>
        <v>7.6083226000000002</v>
      </c>
      <c r="K17" s="278">
        <f>ROUND(VLOOKUP($E17,'BDEW-Standard'!$B$3:$M$154,K$9,0),7)</f>
        <v>7.4685000000000001E-2</v>
      </c>
      <c r="L17" s="279">
        <f>ROUND(VLOOKUP($E17,'BDEW-Standard'!$B$3:$M$154,L$9,0),1)</f>
        <v>40</v>
      </c>
      <c r="M17" s="278">
        <f>ROUND(VLOOKUP($E17,'BDEW-Standard'!$B$3:$M$154,M$9,0),7)</f>
        <v>0</v>
      </c>
      <c r="N17" s="278">
        <f>ROUND(VLOOKUP($E17,'BDEW-Standard'!$B$3:$M$154,N$9,0),7)</f>
        <v>0</v>
      </c>
      <c r="O17" s="278">
        <f>ROUND(VLOOKUP($E17,'BDEW-Standard'!$B$3:$M$154,O$9,0),7)</f>
        <v>0</v>
      </c>
      <c r="P17" s="278">
        <f>ROUND(VLOOKUP($E17,'BDEW-Standard'!$B$3:$M$154,P$9,0),7)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248</v>
      </c>
      <c r="E18" s="165" t="s">
        <v>668</v>
      </c>
      <c r="F18" s="307" t="str">
        <f>VLOOKUP($E18,'BDEW-Standard'!$B$3:$M$154,F$9,0)</f>
        <v>BD4</v>
      </c>
      <c r="H18" s="278">
        <f>ROUND(VLOOKUP($E18,'BDEW-Standard'!$B$3:$M$154,H$9,0),7)</f>
        <v>3.75</v>
      </c>
      <c r="I18" s="278">
        <f>ROUND(VLOOKUP($E18,'BDEW-Standard'!$B$3:$M$154,I$9,0),7)</f>
        <v>-37.5</v>
      </c>
      <c r="J18" s="278">
        <f>ROUND(VLOOKUP($E18,'BDEW-Standard'!$B$3:$M$154,J$9,0),7)</f>
        <v>6.8</v>
      </c>
      <c r="K18" s="278">
        <f>ROUND(VLOOKUP($E18,'BDEW-Standard'!$B$3:$M$154,K$9,0),7)</f>
        <v>6.0911300000000002E-2</v>
      </c>
      <c r="L18" s="279">
        <f>ROUND(VLOOKUP($E18,'BDEW-Standard'!$B$3:$M$154,L$9,0),1)</f>
        <v>40</v>
      </c>
      <c r="M18" s="278">
        <f>ROUND(VLOOKUP($E18,'BDEW-Standard'!$B$3:$M$154,M$9,0),7)</f>
        <v>0</v>
      </c>
      <c r="N18" s="278">
        <f>ROUND(VLOOKUP($E18,'BDEW-Standard'!$B$3:$M$154,N$9,0),7)</f>
        <v>0</v>
      </c>
      <c r="O18" s="278">
        <f>ROUND(VLOOKUP($E18,'BDEW-Standard'!$B$3:$M$154,O$9,0),7)</f>
        <v>0</v>
      </c>
      <c r="P18" s="278">
        <f>ROUND(VLOOKUP($E18,'BDEW-Standard'!$B$3:$M$154,P$9,0),7)</f>
        <v>0</v>
      </c>
      <c r="Q18" s="280">
        <f t="shared" si="1"/>
        <v>1.0126136468627658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248</v>
      </c>
      <c r="E19" s="165" t="s">
        <v>670</v>
      </c>
      <c r="F19" s="307" t="str">
        <f>VLOOKUP($E19,'BDEW-Standard'!$B$3:$M$154,F$9,0)</f>
        <v>HA4</v>
      </c>
      <c r="H19" s="278">
        <f>ROUND(VLOOKUP($E19,'BDEW-Standard'!$B$3:$M$154,H$9,0),7)</f>
        <v>4.0196902000000003</v>
      </c>
      <c r="I19" s="278">
        <f>ROUND(VLOOKUP($E19,'BDEW-Standard'!$B$3:$M$154,I$9,0),7)</f>
        <v>-37.828203700000003</v>
      </c>
      <c r="J19" s="278">
        <f>ROUND(VLOOKUP($E19,'BDEW-Standard'!$B$3:$M$154,J$9,0),7)</f>
        <v>8.1593368999999996</v>
      </c>
      <c r="K19" s="278">
        <f>ROUND(VLOOKUP($E19,'BDEW-Standard'!$B$3:$M$154,K$9,0),7)</f>
        <v>4.72845E-2</v>
      </c>
      <c r="L19" s="279">
        <f>ROUND(VLOOKUP($E19,'BDEW-Standard'!$B$3:$M$154,L$9,0),1)</f>
        <v>40</v>
      </c>
      <c r="M19" s="278">
        <f>ROUND(VLOOKUP($E19,'BDEW-Standard'!$B$3:$M$154,M$9,0),7)</f>
        <v>0</v>
      </c>
      <c r="N19" s="278">
        <f>ROUND(VLOOKUP($E19,'BDEW-Standard'!$B$3:$M$154,N$9,0),7)</f>
        <v>0</v>
      </c>
      <c r="O19" s="278">
        <f>ROUND(VLOOKUP($E19,'BDEW-Standard'!$B$3:$M$154,O$9,0),7)</f>
        <v>0</v>
      </c>
      <c r="P19" s="278">
        <f>ROUND(VLOOKUP($E19,'BDEW-Standard'!$B$3:$M$154,P$9,0),7)</f>
        <v>0</v>
      </c>
      <c r="Q19" s="280">
        <f t="shared" si="1"/>
        <v>0.86486713303260787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248</v>
      </c>
      <c r="E20" s="165" t="s">
        <v>669</v>
      </c>
      <c r="F20" s="307" t="str">
        <f>VLOOKUP($E20,'BDEW-Standard'!$B$3:$M$154,F$9,0)</f>
        <v>BH4</v>
      </c>
      <c r="H20" s="278">
        <f>ROUND(VLOOKUP($E20,'BDEW-Standard'!$B$3:$M$154,H$9,0),7)</f>
        <v>2.4595180999999999</v>
      </c>
      <c r="I20" s="278">
        <f>ROUND(VLOOKUP($E20,'BDEW-Standard'!$B$3:$M$154,I$9,0),7)</f>
        <v>-35.253212400000002</v>
      </c>
      <c r="J20" s="278">
        <f>ROUND(VLOOKUP($E20,'BDEW-Standard'!$B$3:$M$154,J$9,0),7)</f>
        <v>6.0587001000000003</v>
      </c>
      <c r="K20" s="278">
        <f>ROUND(VLOOKUP($E20,'BDEW-Standard'!$B$3:$M$154,K$9,0),7)</f>
        <v>0.16473699999999999</v>
      </c>
      <c r="L20" s="279">
        <f>ROUND(VLOOKUP($E20,'BDEW-Standard'!$B$3:$M$154,L$9,0),1)</f>
        <v>40</v>
      </c>
      <c r="M20" s="278">
        <f>ROUND(VLOOKUP($E20,'BDEW-Standard'!$B$3:$M$154,M$9,0),7)</f>
        <v>0</v>
      </c>
      <c r="N20" s="278">
        <f>ROUND(VLOOKUP($E20,'BDEW-Standard'!$B$3:$M$154,N$9,0),7)</f>
        <v>0</v>
      </c>
      <c r="O20" s="278">
        <f>ROUND(VLOOKUP($E20,'BDEW-Standard'!$B$3:$M$154,O$9,0),7)</f>
        <v>0</v>
      </c>
      <c r="P20" s="278">
        <f>ROUND(VLOOKUP($E20,'BDEW-Standard'!$B$3:$M$154,P$9,0),7)</f>
        <v>0</v>
      </c>
      <c r="Q20" s="280">
        <f t="shared" si="1"/>
        <v>1.043802057143173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248</v>
      </c>
      <c r="E21" s="165" t="s">
        <v>671</v>
      </c>
      <c r="F21" s="307" t="str">
        <f>VLOOKUP($E21,'BDEW-Standard'!$B$3:$M$154,F$9,0)</f>
        <v>GA4</v>
      </c>
      <c r="H21" s="278">
        <f>ROUND(VLOOKUP($E21,'BDEW-Standard'!$B$3:$M$154,H$9,0),7)</f>
        <v>2.8195655999999998</v>
      </c>
      <c r="I21" s="278">
        <f>ROUND(VLOOKUP($E21,'BDEW-Standard'!$B$3:$M$154,I$9,0),7)</f>
        <v>-36</v>
      </c>
      <c r="J21" s="278">
        <f>ROUND(VLOOKUP($E21,'BDEW-Standard'!$B$3:$M$154,J$9,0),7)</f>
        <v>7.7368518000000002</v>
      </c>
      <c r="K21" s="278">
        <f>ROUND(VLOOKUP($E21,'BDEW-Standard'!$B$3:$M$154,K$9,0),7)</f>
        <v>0.157281</v>
      </c>
      <c r="L21" s="279">
        <f>ROUND(VLOOKUP($E21,'BDEW-Standard'!$B$3:$M$154,L$9,0),1)</f>
        <v>40</v>
      </c>
      <c r="M21" s="278">
        <f>ROUND(VLOOKUP($E21,'BDEW-Standard'!$B$3:$M$154,M$9,0),7)</f>
        <v>0</v>
      </c>
      <c r="N21" s="278">
        <f>ROUND(VLOOKUP($E21,'BDEW-Standard'!$B$3:$M$154,N$9,0),7)</f>
        <v>0</v>
      </c>
      <c r="O21" s="278">
        <f>ROUND(VLOOKUP($E21,'BDEW-Standard'!$B$3:$M$154,O$9,0),7)</f>
        <v>0</v>
      </c>
      <c r="P21" s="278">
        <f>ROUND(VLOOKUP($E21,'BDEW-Standard'!$B$3:$M$154,P$9,0),7)</f>
        <v>0</v>
      </c>
      <c r="Q21" s="280">
        <f t="shared" si="1"/>
        <v>0.96576337685759206</v>
      </c>
      <c r="R21" s="281">
        <f>ROUND(VLOOKUP(MID($E21,4,3),'Wochentag F(WT)'!$B$7:$J$22,R$9,0),4)</f>
        <v>0.93220000000000003</v>
      </c>
      <c r="S21" s="281">
        <f>ROUND(VLOOKUP(MID($E21,4,3),'Wochentag F(WT)'!$B$7:$J$22,S$9,0),4)</f>
        <v>0.98939999999999995</v>
      </c>
      <c r="T21" s="281">
        <f>ROUND(VLOOKUP(MID($E21,4,3),'Wochentag F(WT)'!$B$7:$J$22,T$9,0),4)</f>
        <v>1.0033000000000001</v>
      </c>
      <c r="U21" s="281">
        <f>ROUND(VLOOKUP(MID($E21,4,3),'Wochentag F(WT)'!$B$7:$J$22,U$9,0),4)</f>
        <v>1.0108999999999999</v>
      </c>
      <c r="V21" s="281">
        <f>ROUND(VLOOKUP(MID($E21,4,3),'Wochentag F(WT)'!$B$7:$J$22,V$9,0),4)</f>
        <v>1.018</v>
      </c>
      <c r="W21" s="281">
        <f>ROUND(VLOOKUP(MID($E21,4,3),'Wochentag F(WT)'!$B$7:$J$22,W$9,0),4)</f>
        <v>1.0356000000000001</v>
      </c>
      <c r="X21" s="282">
        <f t="shared" si="2"/>
        <v>1.0106000000000002</v>
      </c>
      <c r="Y21" s="303"/>
      <c r="Z21" s="212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248</v>
      </c>
      <c r="E22" s="165" t="s">
        <v>672</v>
      </c>
      <c r="F22" s="307" t="str">
        <f>VLOOKUP($E22,'BDEW-Standard'!$B$3:$M$154,F$9,0)</f>
        <v>BA4</v>
      </c>
      <c r="H22" s="278">
        <f>ROUND(VLOOKUP($E22,'BDEW-Standard'!$B$3:$M$154,H$9,0),7)</f>
        <v>0.93158890000000005</v>
      </c>
      <c r="I22" s="278">
        <f>ROUND(VLOOKUP($E22,'BDEW-Standard'!$B$3:$M$154,I$9,0),7)</f>
        <v>-33.35</v>
      </c>
      <c r="J22" s="278">
        <f>ROUND(VLOOKUP($E22,'BDEW-Standard'!$B$3:$M$154,J$9,0),7)</f>
        <v>5.7212303000000002</v>
      </c>
      <c r="K22" s="278">
        <f>ROUND(VLOOKUP($E22,'BDEW-Standard'!$B$3:$M$154,K$9,0),7)</f>
        <v>0.66564939999999995</v>
      </c>
      <c r="L22" s="279">
        <f>ROUND(VLOOKUP($E22,'BDEW-Standard'!$B$3:$M$154,L$9,0),1)</f>
        <v>40</v>
      </c>
      <c r="M22" s="278">
        <f>ROUND(VLOOKUP($E22,'BDEW-Standard'!$B$3:$M$154,M$9,0),7)</f>
        <v>0</v>
      </c>
      <c r="N22" s="278">
        <f>ROUND(VLOOKUP($E22,'BDEW-Standard'!$B$3:$M$154,N$9,0),7)</f>
        <v>0</v>
      </c>
      <c r="O22" s="278">
        <f>ROUND(VLOOKUP($E22,'BDEW-Standard'!$B$3:$M$154,O$9,0),7)</f>
        <v>0</v>
      </c>
      <c r="P22" s="278">
        <f>ROUND(VLOOKUP($E22,'BDEW-Standard'!$B$3:$M$154,P$9,0),7)</f>
        <v>0</v>
      </c>
      <c r="Q22" s="280">
        <f t="shared" si="1"/>
        <v>1.0766391850538448</v>
      </c>
      <c r="R22" s="281">
        <f>ROUND(VLOOKUP(MID($E22,4,3),'Wochentag F(WT)'!$B$7:$J$22,R$9,0),4)</f>
        <v>1.0848</v>
      </c>
      <c r="S22" s="281">
        <f>ROUND(VLOOKUP(MID($E22,4,3),'Wochentag F(WT)'!$B$7:$J$22,S$9,0),4)</f>
        <v>1.1211</v>
      </c>
      <c r="T22" s="281">
        <f>ROUND(VLOOKUP(MID($E22,4,3),'Wochentag F(WT)'!$B$7:$J$22,T$9,0),4)</f>
        <v>1.0769</v>
      </c>
      <c r="U22" s="281">
        <f>ROUND(VLOOKUP(MID($E22,4,3),'Wochentag F(WT)'!$B$7:$J$22,U$9,0),4)</f>
        <v>1.1353</v>
      </c>
      <c r="V22" s="281">
        <f>ROUND(VLOOKUP(MID($E22,4,3),'Wochentag F(WT)'!$B$7:$J$22,V$9,0),4)</f>
        <v>1.1402000000000001</v>
      </c>
      <c r="W22" s="281">
        <f>ROUND(VLOOKUP(MID($E22,4,3),'Wochentag F(WT)'!$B$7:$J$22,W$9,0),4)</f>
        <v>0.48520000000000002</v>
      </c>
      <c r="X22" s="282">
        <f t="shared" si="2"/>
        <v>0.95650000000000013</v>
      </c>
      <c r="Y22" s="303"/>
      <c r="Z22" s="212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248</v>
      </c>
      <c r="E23" s="165" t="s">
        <v>673</v>
      </c>
      <c r="F23" s="307" t="str">
        <f>VLOOKUP($E23,'BDEW-Standard'!$B$3:$M$154,F$9,0)</f>
        <v>WA4</v>
      </c>
      <c r="H23" s="278">
        <f>ROUND(VLOOKUP($E23,'BDEW-Standard'!$B$3:$M$154,H$9,0),7)</f>
        <v>1.0535874999999999</v>
      </c>
      <c r="I23" s="278">
        <f>ROUND(VLOOKUP($E23,'BDEW-Standard'!$B$3:$M$154,I$9,0),7)</f>
        <v>-35.299999999999997</v>
      </c>
      <c r="J23" s="278">
        <f>ROUND(VLOOKUP($E23,'BDEW-Standard'!$B$3:$M$154,J$9,0),7)</f>
        <v>4.8662747</v>
      </c>
      <c r="K23" s="278">
        <f>ROUND(VLOOKUP($E23,'BDEW-Standard'!$B$3:$M$154,K$9,0),7)</f>
        <v>0.68110420000000005</v>
      </c>
      <c r="L23" s="279">
        <f>ROUND(VLOOKUP($E23,'BDEW-Standard'!$B$3:$M$154,L$9,0),1)</f>
        <v>40</v>
      </c>
      <c r="M23" s="278">
        <f>ROUND(VLOOKUP($E23,'BDEW-Standard'!$B$3:$M$154,M$9,0),7)</f>
        <v>0</v>
      </c>
      <c r="N23" s="278">
        <f>ROUND(VLOOKUP($E23,'BDEW-Standard'!$B$3:$M$154,N$9,0),7)</f>
        <v>0</v>
      </c>
      <c r="O23" s="278">
        <f>ROUND(VLOOKUP($E23,'BDEW-Standard'!$B$3:$M$154,O$9,0),7)</f>
        <v>0</v>
      </c>
      <c r="P23" s="278">
        <f>ROUND(VLOOKUP($E23,'BDEW-Standard'!$B$3:$M$154,P$9,0),7)</f>
        <v>0</v>
      </c>
      <c r="Q23" s="280">
        <f t="shared" si="1"/>
        <v>1.0844348950990992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 t="shared" si="2"/>
        <v>0.46379999999999999</v>
      </c>
      <c r="Y23" s="303"/>
      <c r="Z23" s="212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248</v>
      </c>
      <c r="E24" s="165" t="s">
        <v>674</v>
      </c>
      <c r="F24" s="307" t="str">
        <f>VLOOKUP($E24,'BDEW-Standard'!$B$3:$M$154,F$9,0)</f>
        <v>GB4</v>
      </c>
      <c r="H24" s="278">
        <f>ROUND(VLOOKUP($E24,'BDEW-Standard'!$B$3:$M$154,H$9,0),7)</f>
        <v>3.6017736</v>
      </c>
      <c r="I24" s="278">
        <f>ROUND(VLOOKUP($E24,'BDEW-Standard'!$B$3:$M$154,I$9,0),7)</f>
        <v>-37.882536799999997</v>
      </c>
      <c r="J24" s="278">
        <f>ROUND(VLOOKUP($E24,'BDEW-Standard'!$B$3:$M$154,J$9,0),7)</f>
        <v>6.9836070000000001</v>
      </c>
      <c r="K24" s="278">
        <f>ROUND(VLOOKUP($E24,'BDEW-Standard'!$B$3:$M$154,K$9,0),7)</f>
        <v>5.4826199999999999E-2</v>
      </c>
      <c r="L24" s="279">
        <f>ROUND(VLOOKUP($E24,'BDEW-Standard'!$B$3:$M$154,L$9,0),1)</f>
        <v>40</v>
      </c>
      <c r="M24" s="278">
        <f>ROUND(VLOOKUP($E24,'BDEW-Standard'!$B$3:$M$154,M$9,0),7)</f>
        <v>0</v>
      </c>
      <c r="N24" s="278">
        <f>ROUND(VLOOKUP($E24,'BDEW-Standard'!$B$3:$M$154,N$9,0),7)</f>
        <v>0</v>
      </c>
      <c r="O24" s="278">
        <f>ROUND(VLOOKUP($E24,'BDEW-Standard'!$B$3:$M$154,O$9,0),7)</f>
        <v>0</v>
      </c>
      <c r="P24" s="278">
        <f>ROUND(VLOOKUP($E24,'BDEW-Standard'!$B$3:$M$154,P$9,0),7)</f>
        <v>0</v>
      </c>
      <c r="Q24" s="280">
        <f t="shared" si="1"/>
        <v>0.90239375975311864</v>
      </c>
      <c r="R24" s="281">
        <f>ROUND(VLOOKUP(MID($E24,4,3),'Wochentag F(WT)'!$B$7:$J$22,R$9,0),4)</f>
        <v>0.98970000000000002</v>
      </c>
      <c r="S24" s="281">
        <f>ROUND(VLOOKUP(MID($E24,4,3),'Wochentag F(WT)'!$B$7:$J$22,S$9,0),4)</f>
        <v>0.9627</v>
      </c>
      <c r="T24" s="281">
        <f>ROUND(VLOOKUP(MID($E24,4,3),'Wochentag F(WT)'!$B$7:$J$22,T$9,0),4)</f>
        <v>1.0507</v>
      </c>
      <c r="U24" s="281">
        <f>ROUND(VLOOKUP(MID($E24,4,3),'Wochentag F(WT)'!$B$7:$J$22,U$9,0),4)</f>
        <v>1.0551999999999999</v>
      </c>
      <c r="V24" s="281">
        <f>ROUND(VLOOKUP(MID($E24,4,3),'Wochentag F(WT)'!$B$7:$J$22,V$9,0),4)</f>
        <v>1.0297000000000001</v>
      </c>
      <c r="W24" s="281">
        <f>ROUND(VLOOKUP(MID($E24,4,3),'Wochentag F(WT)'!$B$7:$J$22,W$9,0),4)</f>
        <v>0.97670000000000001</v>
      </c>
      <c r="X24" s="282">
        <f t="shared" si="2"/>
        <v>0.9352999999999998</v>
      </c>
      <c r="Y24" s="303"/>
      <c r="Z24" s="212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248</v>
      </c>
      <c r="E25" s="165" t="s">
        <v>675</v>
      </c>
      <c r="F25" s="307" t="str">
        <f>VLOOKUP($E25,'BDEW-Standard'!$B$3:$M$154,F$9,0)</f>
        <v>PD4</v>
      </c>
      <c r="H25" s="278">
        <f>ROUND(VLOOKUP($E25,'BDEW-Standard'!$B$3:$M$154,H$9,0),7)</f>
        <v>3.85</v>
      </c>
      <c r="I25" s="278">
        <f>ROUND(VLOOKUP($E25,'BDEW-Standard'!$B$3:$M$154,I$9,0),7)</f>
        <v>-37</v>
      </c>
      <c r="J25" s="278">
        <f>ROUND(VLOOKUP($E25,'BDEW-Standard'!$B$3:$M$154,J$9,0),7)</f>
        <v>10.2405021</v>
      </c>
      <c r="K25" s="278">
        <f>ROUND(VLOOKUP($E25,'BDEW-Standard'!$B$3:$M$154,K$9,0),7)</f>
        <v>4.6924300000000002E-2</v>
      </c>
      <c r="L25" s="279">
        <f>ROUND(VLOOKUP($E25,'BDEW-Standard'!$B$3:$M$154,L$9,0),1)</f>
        <v>40</v>
      </c>
      <c r="M25" s="278">
        <f>ROUND(VLOOKUP($E25,'BDEW-Standard'!$B$3:$M$154,M$9,0),7)</f>
        <v>0</v>
      </c>
      <c r="N25" s="278">
        <f>ROUND(VLOOKUP($E25,'BDEW-Standard'!$B$3:$M$154,N$9,0),7)</f>
        <v>0</v>
      </c>
      <c r="O25" s="278">
        <f>ROUND(VLOOKUP($E25,'BDEW-Standard'!$B$3:$M$154,O$9,0),7)</f>
        <v>0</v>
      </c>
      <c r="P25" s="278">
        <f>ROUND(VLOOKUP($E25,'BDEW-Standard'!$B$3:$M$154,P$9,0),7)</f>
        <v>0</v>
      </c>
      <c r="Q25" s="280">
        <f t="shared" si="1"/>
        <v>0.75691065279879233</v>
      </c>
      <c r="R25" s="281">
        <f>ROUND(VLOOKUP(MID($E25,4,3),'Wochentag F(WT)'!$B$7:$J$22,R$9,0),4)</f>
        <v>1.0214000000000001</v>
      </c>
      <c r="S25" s="281">
        <f>ROUND(VLOOKUP(MID($E25,4,3),'Wochentag F(WT)'!$B$7:$J$22,S$9,0),4)</f>
        <v>1.0866</v>
      </c>
      <c r="T25" s="281">
        <f>ROUND(VLOOKUP(MID($E25,4,3),'Wochentag F(WT)'!$B$7:$J$22,T$9,0),4)</f>
        <v>1.0720000000000001</v>
      </c>
      <c r="U25" s="281">
        <f>ROUND(VLOOKUP(MID($E25,4,3),'Wochentag F(WT)'!$B$7:$J$22,U$9,0),4)</f>
        <v>1.0557000000000001</v>
      </c>
      <c r="V25" s="281">
        <f>ROUND(VLOOKUP(MID($E25,4,3),'Wochentag F(WT)'!$B$7:$J$22,V$9,0),4)</f>
        <v>1.0117</v>
      </c>
      <c r="W25" s="281">
        <f>ROUND(VLOOKUP(MID($E25,4,3),'Wochentag F(WT)'!$B$7:$J$22,W$9,0),4)</f>
        <v>0.90010000000000001</v>
      </c>
      <c r="X25" s="282">
        <f t="shared" si="2"/>
        <v>0.85249999999999915</v>
      </c>
      <c r="Y25" s="303"/>
      <c r="Z25" s="212"/>
    </row>
    <row r="26" spans="2:26" s="143" customFormat="1">
      <c r="B26" s="144">
        <v>15</v>
      </c>
      <c r="C26" s="145" t="str">
        <f t="shared" si="0"/>
        <v>Angaben gelten für alle Netzgebiete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aRDD8DytdW1eCudUQvCEnjLzQBykBrwUYPsnkoHDhUWZdwowthb4bhTcRtWXC+CzKfQZwfc5TtWQZwbUbpbeIw==" saltValue="7HR++nScaF23YiBnts86gw==" spinCount="100000" sheet="1" objects="1" scenarios="1" selectLockedCells="1" selectUnlockedCells="1"/>
  <protectedRanges>
    <protectedRange sqref="E11" name="Bereich1"/>
  </protectedRanges>
  <mergeCells count="1">
    <mergeCell ref="D7:E7"/>
  </mergeCells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B13" sqref="B13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348</v>
      </c>
      <c r="B1" s="216">
        <v>42173</v>
      </c>
      <c r="D1" s="131" t="s">
        <v>457</v>
      </c>
      <c r="F1" s="217" t="s">
        <v>550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35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323</v>
      </c>
      <c r="D96" s="235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328</v>
      </c>
      <c r="D97" s="235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333</v>
      </c>
      <c r="D98" s="235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286</v>
      </c>
      <c r="D99" s="235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35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35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35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35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35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35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35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35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35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35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35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35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35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35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35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35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35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35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35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35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35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35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35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35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35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35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35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35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35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35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35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35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35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35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35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35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35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35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35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35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35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35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35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35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35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35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35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35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35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35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35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35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35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35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35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35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35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35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35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30" sqref="C3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Main-Kinzig Netzdienste GmbH</v>
      </c>
      <c r="D4" s="76"/>
      <c r="G4" s="76"/>
      <c r="I4" s="76"/>
      <c r="J4" s="77"/>
      <c r="M4" s="86" t="s">
        <v>544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Netzbetreiber!D28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354">
        <f>Netzbetreiber!$D$11</f>
        <v>9870018200004</v>
      </c>
      <c r="D6" s="354"/>
      <c r="E6" s="354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461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2" t="s">
        <v>588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399</v>
      </c>
      <c r="G10" s="350"/>
      <c r="H10" s="350"/>
      <c r="I10" s="350"/>
      <c r="J10" s="350"/>
      <c r="K10" s="350"/>
      <c r="L10" s="351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14">
        <f>MIN(SUMPRODUCT($M$11:$AD$11,M12:AD12),1)</f>
        <v>1</v>
      </c>
      <c r="F12" s="31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15">
        <f t="shared" ref="E13:E33" si="0">MIN(SUMPRODUCT($M$11:$AD$11,M13:AD13),1)</f>
        <v>0</v>
      </c>
      <c r="F13" s="31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15">
        <f t="shared" si="0"/>
        <v>0</v>
      </c>
      <c r="F14" s="31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15">
        <f t="shared" si="0"/>
        <v>0</v>
      </c>
      <c r="F15" s="31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15">
        <f t="shared" si="0"/>
        <v>1</v>
      </c>
      <c r="F16" s="31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15">
        <f t="shared" si="0"/>
        <v>1</v>
      </c>
      <c r="F17" s="31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15">
        <f t="shared" si="0"/>
        <v>1</v>
      </c>
      <c r="F18" s="31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15">
        <f t="shared" si="0"/>
        <v>1</v>
      </c>
      <c r="F19" s="31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654</v>
      </c>
      <c r="C20" s="117"/>
      <c r="D20" s="111">
        <v>12</v>
      </c>
      <c r="E20" s="315">
        <f t="shared" si="0"/>
        <v>1</v>
      </c>
      <c r="F20" s="31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15">
        <f t="shared" si="0"/>
        <v>1</v>
      </c>
      <c r="F21" s="31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15">
        <f t="shared" si="0"/>
        <v>1</v>
      </c>
      <c r="F22" s="31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15">
        <f t="shared" si="0"/>
        <v>1</v>
      </c>
      <c r="F23" s="31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15">
        <f t="shared" si="0"/>
        <v>0</v>
      </c>
      <c r="F24" s="31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15">
        <f t="shared" si="0"/>
        <v>0</v>
      </c>
      <c r="F25" s="31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15">
        <f t="shared" si="0"/>
        <v>1</v>
      </c>
      <c r="F26" s="31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15">
        <f t="shared" si="0"/>
        <v>0</v>
      </c>
      <c r="F27" s="31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15">
        <f t="shared" si="0"/>
        <v>0</v>
      </c>
      <c r="F28" s="31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15">
        <f t="shared" si="0"/>
        <v>0</v>
      </c>
      <c r="F29" s="31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15">
        <f t="shared" si="0"/>
        <v>0</v>
      </c>
      <c r="F30" s="31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15">
        <f t="shared" si="0"/>
        <v>1</v>
      </c>
      <c r="F31" s="31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15">
        <f t="shared" si="0"/>
        <v>1</v>
      </c>
      <c r="F32" s="31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16">
        <f t="shared" si="0"/>
        <v>0</v>
      </c>
      <c r="F33" s="31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algorithmName="SHA-512" hashValue="IuVzGNBAqni45r1BrsIXCA33jqte8BDA8QLdFViGvLrs9+O1IZL6KNYFyfXquCCcO0HOjCinNYc56UJ8+eRGAw==" saltValue="RggY+k7z6a3vuIPNrKQ4yQ==" spinCount="100000" sheet="1" objects="1" scenarios="1" selectLockedCells="1" selectUnlockedCell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458</v>
      </c>
      <c r="B1" s="128"/>
      <c r="D1" s="217" t="s">
        <v>550</v>
      </c>
    </row>
    <row r="2" spans="1:16">
      <c r="A2" s="237"/>
      <c r="B2" s="236" t="s">
        <v>459</v>
      </c>
    </row>
    <row r="3" spans="1:16" ht="20.100000000000001" customHeight="1">
      <c r="A3" s="355" t="s">
        <v>249</v>
      </c>
      <c r="B3" s="238" t="s">
        <v>86</v>
      </c>
      <c r="C3" s="239"/>
      <c r="D3" s="357" t="s">
        <v>460</v>
      </c>
      <c r="E3" s="358"/>
      <c r="F3" s="358"/>
      <c r="G3" s="358"/>
      <c r="H3" s="358"/>
      <c r="I3" s="358"/>
      <c r="J3" s="359"/>
      <c r="K3" s="240"/>
      <c r="L3" s="240"/>
      <c r="M3" s="240"/>
      <c r="N3" s="240"/>
      <c r="O3" s="241"/>
      <c r="P3" s="240"/>
    </row>
    <row r="4" spans="1:16" ht="20.100000000000001" customHeight="1">
      <c r="A4" s="356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Solero</cp:lastModifiedBy>
  <cp:lastPrinted>2015-03-20T22:59:10Z</cp:lastPrinted>
  <dcterms:created xsi:type="dcterms:W3CDTF">2015-01-15T05:25:41Z</dcterms:created>
  <dcterms:modified xsi:type="dcterms:W3CDTF">2015-07-16T08:24:53Z</dcterms:modified>
</cp:coreProperties>
</file>